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Kontor\Virksomhet\01_Styret\Representantskapet\2026\Vedlegg\"/>
    </mc:Choice>
  </mc:AlternateContent>
  <xr:revisionPtr revIDLastSave="0" documentId="8_{D3BC5278-AF26-45C9-987A-BC3A7BA8BBAD}" xr6:coauthVersionLast="47" xr6:coauthVersionMax="47" xr10:uidLastSave="{00000000-0000-0000-0000-000000000000}"/>
  <bookViews>
    <workbookView xWindow="29920" yWindow="3720" windowWidth="18980" windowHeight="16320" activeTab="1" xr2:uid="{AFCFB144-92A1-4B9C-A03E-0049E07E51FE}"/>
  </bookViews>
  <sheets>
    <sheet name="Driftsbudsjett" sheetId="1" r:id="rId1"/>
    <sheet name="Investeringsbudsjet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I16" i="1"/>
  <c r="J16" i="1"/>
  <c r="K16" i="1"/>
  <c r="L16" i="1"/>
  <c r="I19" i="1"/>
  <c r="J19" i="1"/>
  <c r="K19" i="1"/>
  <c r="L19" i="1"/>
  <c r="I31" i="1"/>
  <c r="J31" i="1"/>
  <c r="K31" i="1"/>
  <c r="L31" i="1"/>
  <c r="G9" i="2"/>
  <c r="G10" i="2" s="1"/>
  <c r="G18" i="2" s="1"/>
  <c r="H10" i="2"/>
  <c r="I10" i="2"/>
  <c r="I18" i="2" s="1"/>
  <c r="J10" i="2"/>
  <c r="J18" i="2" s="1"/>
  <c r="G16" i="2"/>
  <c r="H16" i="2"/>
  <c r="J16" i="2"/>
  <c r="G30" i="2"/>
  <c r="H30" i="2"/>
  <c r="I30" i="2"/>
  <c r="J30" i="2"/>
  <c r="H18" i="2" l="1"/>
  <c r="E14" i="2"/>
  <c r="F14" i="2" s="1"/>
  <c r="E7" i="2"/>
  <c r="E9" i="2" s="1"/>
  <c r="F9" i="2" s="1"/>
  <c r="G32" i="1"/>
  <c r="H32" i="1" s="1"/>
  <c r="G31" i="1"/>
  <c r="G34" i="1" s="1"/>
  <c r="C7" i="2"/>
  <c r="F34" i="1"/>
  <c r="E9" i="1"/>
  <c r="E8" i="1"/>
  <c r="E12" i="1" s="1"/>
  <c r="E26" i="1"/>
  <c r="E19" i="1"/>
  <c r="E30" i="2"/>
  <c r="H30" i="1"/>
  <c r="H33" i="1"/>
  <c r="H26" i="1"/>
  <c r="H24" i="1"/>
  <c r="H18" i="1"/>
  <c r="H17" i="1"/>
  <c r="H16" i="1"/>
  <c r="H15" i="1"/>
  <c r="G19" i="1"/>
  <c r="G12" i="1"/>
  <c r="H11" i="1"/>
  <c r="I11" i="1" s="1"/>
  <c r="J11" i="1" s="1"/>
  <c r="K11" i="1" s="1"/>
  <c r="L11" i="1" s="1"/>
  <c r="H10" i="1"/>
  <c r="I10" i="1" s="1"/>
  <c r="J10" i="1" s="1"/>
  <c r="K10" i="1" s="1"/>
  <c r="L10" i="1" s="1"/>
  <c r="H9" i="1"/>
  <c r="H8" i="1"/>
  <c r="H7" i="1"/>
  <c r="I7" i="1" s="1"/>
  <c r="F29" i="2"/>
  <c r="F22" i="2"/>
  <c r="F27" i="2"/>
  <c r="F8" i="2"/>
  <c r="D30" i="2"/>
  <c r="D19" i="1"/>
  <c r="D12" i="1"/>
  <c r="F7" i="2" l="1"/>
  <c r="J7" i="1"/>
  <c r="I12" i="1"/>
  <c r="I21" i="1" s="1"/>
  <c r="I27" i="1" s="1"/>
  <c r="I34" i="1" s="1"/>
  <c r="H31" i="1"/>
  <c r="G21" i="1"/>
  <c r="G27" i="1" s="1"/>
  <c r="E21" i="1"/>
  <c r="E27" i="1" s="1"/>
  <c r="E34" i="1" s="1"/>
  <c r="H34" i="1"/>
  <c r="E13" i="2"/>
  <c r="E10" i="2"/>
  <c r="H19" i="1"/>
  <c r="H12" i="1"/>
  <c r="F30" i="2"/>
  <c r="F10" i="2"/>
  <c r="D21" i="1"/>
  <c r="D27" i="1" s="1"/>
  <c r="D34" i="1" s="1"/>
  <c r="D16" i="2"/>
  <c r="C30" i="2"/>
  <c r="C16" i="2"/>
  <c r="D10" i="2"/>
  <c r="C10" i="2"/>
  <c r="F19" i="1"/>
  <c r="F12" i="1"/>
  <c r="C26" i="1"/>
  <c r="C19" i="1"/>
  <c r="C12" i="1"/>
  <c r="J12" i="1" l="1"/>
  <c r="J21" i="1" s="1"/>
  <c r="J27" i="1" s="1"/>
  <c r="J34" i="1" s="1"/>
  <c r="K7" i="1"/>
  <c r="F13" i="2"/>
  <c r="F16" i="2" s="1"/>
  <c r="F18" i="2" s="1"/>
  <c r="E16" i="2"/>
  <c r="E18" i="2" s="1"/>
  <c r="H21" i="1"/>
  <c r="H27" i="1" s="1"/>
  <c r="D18" i="2"/>
  <c r="F21" i="1"/>
  <c r="F27" i="1" s="1"/>
  <c r="C18" i="2"/>
  <c r="C21" i="1"/>
  <c r="C27" i="1" s="1"/>
  <c r="C34" i="1" s="1"/>
  <c r="K12" i="1" l="1"/>
  <c r="K21" i="1" s="1"/>
  <c r="K27" i="1" s="1"/>
  <c r="K34" i="1" s="1"/>
  <c r="L7" i="1"/>
  <c r="L12" i="1" s="1"/>
  <c r="L21" i="1" s="1"/>
  <c r="L27" i="1" s="1"/>
  <c r="L34" i="1" s="1"/>
</calcChain>
</file>

<file path=xl/sharedStrings.xml><?xml version="1.0" encoding="utf-8"?>
<sst xmlns="http://schemas.openxmlformats.org/spreadsheetml/2006/main" count="67" uniqueCount="56">
  <si>
    <t>ARKIV ØST IKS</t>
  </si>
  <si>
    <t>Driftsbudsjett</t>
  </si>
  <si>
    <t>Regnskap 2024</t>
  </si>
  <si>
    <t>Opprinnelig budsjett 2025</t>
  </si>
  <si>
    <t>Regnskap 2025</t>
  </si>
  <si>
    <t>Budsjett 2026</t>
  </si>
  <si>
    <t>Endring</t>
  </si>
  <si>
    <t>Revidert budsjett 2026</t>
  </si>
  <si>
    <t>Budsjett 2027</t>
  </si>
  <si>
    <t>Budsjett 2028</t>
  </si>
  <si>
    <t>Budsjett 2029</t>
  </si>
  <si>
    <t>Budsjett 2030</t>
  </si>
  <si>
    <t>Driftsinntekter</t>
  </si>
  <si>
    <t>Salg av tjenester til deltakerkommuner</t>
  </si>
  <si>
    <t>Refusjon NAV, sykepenger, fødselspenger</t>
  </si>
  <si>
    <t>Refusjon andre, inkl. mva-kompensasjon</t>
  </si>
  <si>
    <t>Overføringer fra kommuner</t>
  </si>
  <si>
    <t>Andre driftsinntekter</t>
  </si>
  <si>
    <t>Sum driftsinntekter</t>
  </si>
  <si>
    <t>Driftsutgifter</t>
  </si>
  <si>
    <t>Lønn inkl. sosiale utgifter</t>
  </si>
  <si>
    <t>Kjøp av varer- og tjenester</t>
  </si>
  <si>
    <t>Avskrivninger</t>
  </si>
  <si>
    <t>Andre driftsutgifter inkl. mva.kompensasjon</t>
  </si>
  <si>
    <t>Sum driftsutgifter</t>
  </si>
  <si>
    <t>Finansposter</t>
  </si>
  <si>
    <t>Renteinntekter</t>
  </si>
  <si>
    <t>Renteutgifter</t>
  </si>
  <si>
    <t>Motpost avskrivninger</t>
  </si>
  <si>
    <t>Interne finanstransaksjoner</t>
  </si>
  <si>
    <t>Avsetninger</t>
  </si>
  <si>
    <t>Bruk av tidligere års avsetninger</t>
  </si>
  <si>
    <t>Overføring til investeringsbudsjett</t>
  </si>
  <si>
    <t>Investeringsbudsjett</t>
  </si>
  <si>
    <t>Revidert 2026</t>
  </si>
  <si>
    <t>Investeringer</t>
  </si>
  <si>
    <t>Investeringer i varige driftsmidler</t>
  </si>
  <si>
    <t>Egenkapitalinnskudd KLP</t>
  </si>
  <si>
    <t>Andre investeringsutgifter, mva. komp.</t>
  </si>
  <si>
    <t>Sum investeringsutgifter</t>
  </si>
  <si>
    <t>Finansiering</t>
  </si>
  <si>
    <t>Refusjon stat, mva.komp.</t>
  </si>
  <si>
    <t>Bidrag fra årets driftsregnskap</t>
  </si>
  <si>
    <t>Netto avsetninger</t>
  </si>
  <si>
    <t>Sum finansiering</t>
  </si>
  <si>
    <t>Investeringstiltak:</t>
  </si>
  <si>
    <t>Bokvugge og skanner til muggangrepet materiale</t>
  </si>
  <si>
    <t>IT-infrastruktur</t>
  </si>
  <si>
    <t>Batterberedskap</t>
  </si>
  <si>
    <t xml:space="preserve">Avtrekk og flere punktavsug </t>
  </si>
  <si>
    <t>Nytt sak/arkivsystem</t>
  </si>
  <si>
    <t>Tilrettelegging av lokalene</t>
  </si>
  <si>
    <t xml:space="preserve">Sum tiltak </t>
  </si>
  <si>
    <t>Brutto driftsresultat</t>
  </si>
  <si>
    <t>Netto driftsresultat</t>
  </si>
  <si>
    <t>Fremførbart for inndekning senere år (merforbruk)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</si>
</sst>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4" fontId="4" fillId="0" borderId="0" xfId="1" applyNumberFormat="1" applyFont="1"/>
    <xf numFmtId="164" fontId="3" fillId="0" borderId="1" xfId="1" applyNumberFormat="1" applyFont="1" applyBorder="1"/>
    <xf numFmtId="0" fontId="5" fillId="0" borderId="0" xfId="0" applyFont="1"/>
    <xf numFmtId="0" fontId="6" fillId="0" borderId="0" xfId="0" applyFont="1"/>
    <xf numFmtId="0" fontId="4" fillId="2" borderId="0" xfId="0" applyFont="1" applyFill="1"/>
    <xf numFmtId="164" fontId="4" fillId="2" borderId="0" xfId="1" applyNumberFormat="1" applyFont="1" applyFill="1"/>
    <xf numFmtId="164" fontId="3" fillId="2" borderId="1" xfId="1" applyNumberFormat="1" applyFont="1" applyFill="1" applyBorder="1"/>
    <xf numFmtId="164" fontId="4" fillId="2" borderId="1" xfId="1" applyNumberFormat="1" applyFont="1" applyFill="1" applyBorder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8" fillId="0" borderId="0" xfId="0" applyFont="1"/>
    <xf numFmtId="164" fontId="8" fillId="0" borderId="0" xfId="1" applyNumberFormat="1" applyFont="1"/>
    <xf numFmtId="164" fontId="8" fillId="2" borderId="0" xfId="1" applyNumberFormat="1" applyFont="1" applyFill="1"/>
    <xf numFmtId="0" fontId="9" fillId="0" borderId="0" xfId="0" applyFont="1"/>
    <xf numFmtId="0" fontId="4" fillId="0" borderId="0" xfId="0" applyFont="1" applyAlignment="1">
      <alignment horizontal="left"/>
    </xf>
    <xf numFmtId="164" fontId="4" fillId="0" borderId="0" xfId="1" applyNumberFormat="1" applyFont="1" applyFill="1"/>
    <xf numFmtId="164" fontId="0" fillId="0" borderId="0" xfId="0" applyNumberFormat="1"/>
    <xf numFmtId="164" fontId="4" fillId="3" borderId="1" xfId="1" applyNumberFormat="1" applyFont="1" applyFill="1" applyBorder="1"/>
    <xf numFmtId="164" fontId="3" fillId="0" borderId="1" xfId="1" applyNumberFormat="1" applyFont="1" applyFill="1" applyBorder="1"/>
    <xf numFmtId="164" fontId="4" fillId="0" borderId="1" xfId="1" applyNumberFormat="1" applyFont="1" applyFill="1" applyBorder="1"/>
    <xf numFmtId="164" fontId="8" fillId="0" borderId="0" xfId="1" applyNumberFormat="1" applyFont="1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7F439-49FE-4504-8F4D-4A7BFA68A5F3}">
  <dimension ref="B2:N34"/>
  <sheetViews>
    <sheetView topLeftCell="A12" zoomScale="110" zoomScaleNormal="110" zoomScaleSheetLayoutView="100" workbookViewId="0"/>
  </sheetViews>
  <sheetFormatPr baseColWidth="10" defaultColWidth="11.453125" defaultRowHeight="14.5" x14ac:dyDescent="0.35"/>
  <cols>
    <col min="1" max="1" width="5.7265625" customWidth="1"/>
    <col min="2" max="2" width="34.81640625" customWidth="1"/>
    <col min="3" max="4" width="11" hidden="1" customWidth="1"/>
    <col min="5" max="6" width="11" bestFit="1" customWidth="1"/>
    <col min="7" max="8" width="11" customWidth="1"/>
    <col min="9" max="11" width="11" bestFit="1" customWidth="1"/>
  </cols>
  <sheetData>
    <row r="2" spans="2:14" ht="18.5" x14ac:dyDescent="0.45">
      <c r="B2" s="7" t="s">
        <v>0</v>
      </c>
      <c r="G2" s="20"/>
      <c r="H2" s="20"/>
    </row>
    <row r="3" spans="2:14" ht="6.65" customHeight="1" x14ac:dyDescent="0.35">
      <c r="B3" s="1"/>
    </row>
    <row r="4" spans="2:14" x14ac:dyDescent="0.35">
      <c r="B4" s="2" t="s">
        <v>1</v>
      </c>
      <c r="C4" s="3"/>
      <c r="D4" s="3"/>
      <c r="E4" s="3"/>
      <c r="F4" s="3"/>
      <c r="G4" s="3"/>
      <c r="H4" s="3"/>
      <c r="I4" s="3"/>
      <c r="J4" s="3"/>
      <c r="K4" s="3"/>
    </row>
    <row r="5" spans="2:14" ht="24.5" x14ac:dyDescent="0.35">
      <c r="B5" s="3"/>
      <c r="C5" s="12" t="s">
        <v>2</v>
      </c>
      <c r="D5" s="12" t="s">
        <v>3</v>
      </c>
      <c r="E5" s="12" t="s">
        <v>4</v>
      </c>
      <c r="F5" s="13" t="s">
        <v>5</v>
      </c>
      <c r="G5" s="13" t="s">
        <v>6</v>
      </c>
      <c r="H5" s="13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N5" s="18"/>
    </row>
    <row r="6" spans="2:14" x14ac:dyDescent="0.35">
      <c r="B6" s="2" t="s">
        <v>12</v>
      </c>
      <c r="C6" s="3"/>
      <c r="D6" s="3"/>
      <c r="E6" s="3"/>
      <c r="F6" s="8"/>
      <c r="G6" s="8"/>
      <c r="H6" s="8"/>
      <c r="I6" s="3"/>
      <c r="J6" s="3"/>
      <c r="K6" s="3"/>
      <c r="L6" s="3"/>
    </row>
    <row r="7" spans="2:14" x14ac:dyDescent="0.35">
      <c r="B7" s="3" t="s">
        <v>13</v>
      </c>
      <c r="C7" s="4">
        <v>3176666</v>
      </c>
      <c r="D7" s="4">
        <v>4000000</v>
      </c>
      <c r="E7" s="4">
        <v>3827232</v>
      </c>
      <c r="F7" s="9">
        <v>3916277</v>
      </c>
      <c r="G7" s="9">
        <v>723</v>
      </c>
      <c r="H7" s="9">
        <f>+F7+G7</f>
        <v>3917000</v>
      </c>
      <c r="I7" s="19">
        <f>+ROUND(H7*1.035,-3)+104000</f>
        <v>4158000</v>
      </c>
      <c r="J7" s="19">
        <f>+I7</f>
        <v>4158000</v>
      </c>
      <c r="K7" s="19">
        <f>+J7</f>
        <v>4158000</v>
      </c>
      <c r="L7" s="19">
        <f>+K7</f>
        <v>4158000</v>
      </c>
    </row>
    <row r="8" spans="2:14" x14ac:dyDescent="0.35">
      <c r="B8" s="3" t="s">
        <v>14</v>
      </c>
      <c r="C8" s="4">
        <v>906500</v>
      </c>
      <c r="D8" s="4">
        <v>100000</v>
      </c>
      <c r="E8" s="4">
        <f>293934+77264</f>
        <v>371198</v>
      </c>
      <c r="F8" s="9">
        <v>0</v>
      </c>
      <c r="G8" s="9">
        <v>200000</v>
      </c>
      <c r="H8" s="9">
        <f t="shared" ref="H8:H11" si="0">+F8+G8</f>
        <v>200000</v>
      </c>
      <c r="I8" s="19">
        <v>200000</v>
      </c>
      <c r="J8" s="19">
        <v>200000</v>
      </c>
      <c r="K8" s="19">
        <v>200000</v>
      </c>
      <c r="L8" s="19">
        <v>200000</v>
      </c>
    </row>
    <row r="9" spans="2:14" x14ac:dyDescent="0.35">
      <c r="B9" s="3" t="s">
        <v>15</v>
      </c>
      <c r="C9" s="4">
        <v>1878860</v>
      </c>
      <c r="D9" s="4">
        <v>1500000</v>
      </c>
      <c r="E9" s="4">
        <f>1865283+370504</f>
        <v>2235787</v>
      </c>
      <c r="F9" s="9">
        <v>1990000</v>
      </c>
      <c r="G9" s="9"/>
      <c r="H9" s="9">
        <f t="shared" si="0"/>
        <v>1990000</v>
      </c>
      <c r="I9" s="19">
        <v>1990000</v>
      </c>
      <c r="J9" s="19">
        <v>1990000</v>
      </c>
      <c r="K9" s="19">
        <v>1990000</v>
      </c>
      <c r="L9" s="19">
        <v>1990000</v>
      </c>
    </row>
    <row r="10" spans="2:14" x14ac:dyDescent="0.35">
      <c r="B10" s="3" t="s">
        <v>16</v>
      </c>
      <c r="C10" s="4">
        <v>16048723</v>
      </c>
      <c r="D10" s="4">
        <v>16797000</v>
      </c>
      <c r="E10" s="4">
        <v>18001885</v>
      </c>
      <c r="F10" s="9">
        <v>19115723</v>
      </c>
      <c r="G10" s="9">
        <v>277</v>
      </c>
      <c r="H10" s="9">
        <f t="shared" si="0"/>
        <v>19116000</v>
      </c>
      <c r="I10" s="19">
        <f>+ROUND(H10*1.035,-3)</f>
        <v>19785000</v>
      </c>
      <c r="J10" s="19">
        <f t="shared" ref="J10:L11" si="1">+I10</f>
        <v>19785000</v>
      </c>
      <c r="K10" s="19">
        <f t="shared" si="1"/>
        <v>19785000</v>
      </c>
      <c r="L10" s="19">
        <f t="shared" si="1"/>
        <v>19785000</v>
      </c>
    </row>
    <row r="11" spans="2:14" x14ac:dyDescent="0.35">
      <c r="B11" s="3" t="s">
        <v>17</v>
      </c>
      <c r="C11" s="4">
        <v>68267</v>
      </c>
      <c r="D11" s="4">
        <v>67000</v>
      </c>
      <c r="E11" s="4">
        <v>115670</v>
      </c>
      <c r="F11" s="9">
        <v>73000</v>
      </c>
      <c r="G11" s="9">
        <v>141000</v>
      </c>
      <c r="H11" s="9">
        <f t="shared" si="0"/>
        <v>214000</v>
      </c>
      <c r="I11" s="19">
        <f>+ROUND(H11*1.035,-3)</f>
        <v>221000</v>
      </c>
      <c r="J11" s="19">
        <f t="shared" si="1"/>
        <v>221000</v>
      </c>
      <c r="K11" s="19">
        <f t="shared" si="1"/>
        <v>221000</v>
      </c>
      <c r="L11" s="19">
        <f t="shared" si="1"/>
        <v>221000</v>
      </c>
    </row>
    <row r="12" spans="2:14" x14ac:dyDescent="0.35">
      <c r="B12" s="2" t="s">
        <v>18</v>
      </c>
      <c r="C12" s="5">
        <f t="shared" ref="C12:L12" si="2">SUM(C7:C11)</f>
        <v>22079016</v>
      </c>
      <c r="D12" s="5">
        <f t="shared" si="2"/>
        <v>22464000</v>
      </c>
      <c r="E12" s="5">
        <f t="shared" si="2"/>
        <v>24551772</v>
      </c>
      <c r="F12" s="10">
        <f t="shared" si="2"/>
        <v>25095000</v>
      </c>
      <c r="G12" s="10">
        <f t="shared" si="2"/>
        <v>342000</v>
      </c>
      <c r="H12" s="10">
        <f t="shared" si="2"/>
        <v>25437000</v>
      </c>
      <c r="I12" s="22">
        <f t="shared" si="2"/>
        <v>26354000</v>
      </c>
      <c r="J12" s="22">
        <f t="shared" si="2"/>
        <v>26354000</v>
      </c>
      <c r="K12" s="22">
        <f t="shared" si="2"/>
        <v>26354000</v>
      </c>
      <c r="L12" s="22">
        <f t="shared" si="2"/>
        <v>26354000</v>
      </c>
    </row>
    <row r="13" spans="2:14" x14ac:dyDescent="0.35">
      <c r="B13" s="3"/>
      <c r="C13" s="4"/>
      <c r="D13" s="4"/>
      <c r="E13" s="4"/>
      <c r="F13" s="9"/>
      <c r="G13" s="9"/>
      <c r="H13" s="9"/>
      <c r="I13" s="19"/>
      <c r="J13" s="19"/>
      <c r="K13" s="19"/>
      <c r="L13" s="19"/>
    </row>
    <row r="14" spans="2:14" x14ac:dyDescent="0.35">
      <c r="B14" s="2" t="s">
        <v>19</v>
      </c>
      <c r="C14" s="3"/>
      <c r="D14" s="3"/>
      <c r="E14" s="4"/>
      <c r="F14" s="9"/>
      <c r="G14" s="9"/>
      <c r="H14" s="9"/>
      <c r="I14" s="19"/>
      <c r="J14" s="19"/>
      <c r="K14" s="19"/>
      <c r="L14" s="19"/>
    </row>
    <row r="15" spans="2:14" x14ac:dyDescent="0.35">
      <c r="B15" s="3" t="s">
        <v>20</v>
      </c>
      <c r="C15" s="4">
        <v>12293836</v>
      </c>
      <c r="D15" s="4">
        <v>15000000</v>
      </c>
      <c r="E15" s="4">
        <v>14887059</v>
      </c>
      <c r="F15" s="9">
        <v>16000000</v>
      </c>
      <c r="G15" s="9">
        <v>200000</v>
      </c>
      <c r="H15" s="9">
        <f>+F15+G15</f>
        <v>16200000</v>
      </c>
      <c r="I15" s="19">
        <v>17200000</v>
      </c>
      <c r="J15" s="19">
        <v>17200000</v>
      </c>
      <c r="K15" s="19">
        <v>17200000</v>
      </c>
      <c r="L15" s="19">
        <v>17200000</v>
      </c>
    </row>
    <row r="16" spans="2:14" x14ac:dyDescent="0.35">
      <c r="B16" s="3" t="s">
        <v>21</v>
      </c>
      <c r="C16" s="4">
        <v>7805937</v>
      </c>
      <c r="D16" s="4">
        <v>7400000</v>
      </c>
      <c r="E16" s="4">
        <v>8112361</v>
      </c>
      <c r="F16" s="9">
        <v>7800000</v>
      </c>
      <c r="G16" s="9">
        <v>100000</v>
      </c>
      <c r="H16" s="9">
        <f t="shared" ref="H16:H18" si="3">+F16+G16</f>
        <v>7900000</v>
      </c>
      <c r="I16" s="19">
        <f>+ROUND(7900000*1.035,-3)</f>
        <v>8177000</v>
      </c>
      <c r="J16" s="19">
        <f>+ROUND(7900000*1.035,-3)</f>
        <v>8177000</v>
      </c>
      <c r="K16" s="19">
        <f>+ROUND(7900000*1.035,-3)</f>
        <v>8177000</v>
      </c>
      <c r="L16" s="19">
        <f>+ROUND(7900000*1.035,-3)</f>
        <v>8177000</v>
      </c>
    </row>
    <row r="17" spans="2:12" x14ac:dyDescent="0.35">
      <c r="B17" s="3" t="s">
        <v>22</v>
      </c>
      <c r="C17" s="4">
        <v>243344</v>
      </c>
      <c r="D17" s="4">
        <v>0</v>
      </c>
      <c r="E17" s="4">
        <v>141679</v>
      </c>
      <c r="F17" s="9">
        <v>142000</v>
      </c>
      <c r="G17" s="9">
        <v>8000</v>
      </c>
      <c r="H17" s="9">
        <f t="shared" si="3"/>
        <v>150000</v>
      </c>
      <c r="I17" s="19">
        <v>150000</v>
      </c>
      <c r="J17" s="19">
        <v>150000</v>
      </c>
      <c r="K17" s="19">
        <v>150000</v>
      </c>
      <c r="L17" s="19">
        <v>150000</v>
      </c>
    </row>
    <row r="18" spans="2:12" x14ac:dyDescent="0.35">
      <c r="B18" s="3" t="s">
        <v>23</v>
      </c>
      <c r="C18" s="4">
        <v>1878557</v>
      </c>
      <c r="D18" s="4">
        <v>1500000</v>
      </c>
      <c r="E18" s="4">
        <v>1865283</v>
      </c>
      <c r="F18" s="9">
        <v>1990000</v>
      </c>
      <c r="G18" s="9">
        <v>0</v>
      </c>
      <c r="H18" s="9">
        <f t="shared" si="3"/>
        <v>1990000</v>
      </c>
      <c r="I18" s="19">
        <v>1990000</v>
      </c>
      <c r="J18" s="19">
        <v>1990000</v>
      </c>
      <c r="K18" s="19">
        <v>1990000</v>
      </c>
      <c r="L18" s="19">
        <v>1990000</v>
      </c>
    </row>
    <row r="19" spans="2:12" x14ac:dyDescent="0.35">
      <c r="B19" s="2" t="s">
        <v>24</v>
      </c>
      <c r="C19" s="5">
        <f>SUM(C15:C18)</f>
        <v>22221674</v>
      </c>
      <c r="D19" s="5">
        <f t="shared" ref="D19:K19" si="4">SUM(D15:D18)</f>
        <v>23900000</v>
      </c>
      <c r="E19" s="5">
        <f>SUM(E15:E18)</f>
        <v>25006382</v>
      </c>
      <c r="F19" s="10">
        <f t="shared" si="4"/>
        <v>25932000</v>
      </c>
      <c r="G19" s="10">
        <f>SUM(G15:G18)</f>
        <v>308000</v>
      </c>
      <c r="H19" s="10">
        <f t="shared" si="4"/>
        <v>26240000</v>
      </c>
      <c r="I19" s="22">
        <f t="shared" si="4"/>
        <v>27517000</v>
      </c>
      <c r="J19" s="22">
        <f t="shared" si="4"/>
        <v>27517000</v>
      </c>
      <c r="K19" s="22">
        <f t="shared" si="4"/>
        <v>27517000</v>
      </c>
      <c r="L19" s="22">
        <f t="shared" ref="L19" si="5">SUM(L15:L18)</f>
        <v>27517000</v>
      </c>
    </row>
    <row r="20" spans="2:12" x14ac:dyDescent="0.35">
      <c r="B20" s="3"/>
      <c r="C20" s="4"/>
      <c r="D20" s="4"/>
      <c r="E20" s="4"/>
      <c r="F20" s="9"/>
      <c r="G20" s="9"/>
      <c r="H20" s="9"/>
      <c r="I20" s="19"/>
      <c r="J20" s="19"/>
      <c r="K20" s="19"/>
      <c r="L20" s="19"/>
    </row>
    <row r="21" spans="2:12" x14ac:dyDescent="0.35">
      <c r="B21" s="2" t="s">
        <v>53</v>
      </c>
      <c r="C21" s="5">
        <f>+C12-C19</f>
        <v>-142658</v>
      </c>
      <c r="D21" s="5">
        <f t="shared" ref="D21:K21" si="6">+D12-D19</f>
        <v>-1436000</v>
      </c>
      <c r="E21" s="5">
        <f>+E12-E19</f>
        <v>-454610</v>
      </c>
      <c r="F21" s="10">
        <f t="shared" si="6"/>
        <v>-837000</v>
      </c>
      <c r="G21" s="10">
        <f>+G12-G19</f>
        <v>34000</v>
      </c>
      <c r="H21" s="10">
        <f t="shared" si="6"/>
        <v>-803000</v>
      </c>
      <c r="I21" s="22">
        <f t="shared" si="6"/>
        <v>-1163000</v>
      </c>
      <c r="J21" s="22">
        <f t="shared" si="6"/>
        <v>-1163000</v>
      </c>
      <c r="K21" s="22">
        <f t="shared" si="6"/>
        <v>-1163000</v>
      </c>
      <c r="L21" s="22">
        <f t="shared" ref="L21" si="7">+L12-L19</f>
        <v>-1163000</v>
      </c>
    </row>
    <row r="22" spans="2:12" x14ac:dyDescent="0.35">
      <c r="B22" s="3"/>
      <c r="C22" s="4"/>
      <c r="D22" s="4"/>
      <c r="E22" s="4"/>
      <c r="F22" s="9"/>
      <c r="G22" s="9"/>
      <c r="H22" s="9"/>
      <c r="I22" s="19"/>
      <c r="J22" s="19"/>
      <c r="K22" s="19"/>
      <c r="L22" s="19"/>
    </row>
    <row r="23" spans="2:12" x14ac:dyDescent="0.35">
      <c r="B23" s="2" t="s">
        <v>25</v>
      </c>
      <c r="C23" s="4"/>
      <c r="D23" s="4"/>
      <c r="E23" s="4"/>
      <c r="F23" s="9"/>
      <c r="G23" s="9"/>
      <c r="H23" s="9"/>
      <c r="I23" s="19"/>
      <c r="J23" s="19"/>
      <c r="K23" s="19"/>
      <c r="L23" s="19"/>
    </row>
    <row r="24" spans="2:12" x14ac:dyDescent="0.35">
      <c r="B24" s="3" t="s">
        <v>26</v>
      </c>
      <c r="C24" s="4">
        <v>891260</v>
      </c>
      <c r="D24" s="4">
        <v>575000</v>
      </c>
      <c r="E24" s="4">
        <v>735502</v>
      </c>
      <c r="F24" s="9">
        <v>695000</v>
      </c>
      <c r="G24" s="9">
        <v>-42000</v>
      </c>
      <c r="H24" s="9">
        <f t="shared" ref="H24" si="8">+F24+G24</f>
        <v>653000</v>
      </c>
      <c r="I24" s="19">
        <v>500000</v>
      </c>
      <c r="J24" s="19">
        <v>500000</v>
      </c>
      <c r="K24" s="19">
        <v>500000</v>
      </c>
      <c r="L24" s="19">
        <v>500000</v>
      </c>
    </row>
    <row r="25" spans="2:12" x14ac:dyDescent="0.35">
      <c r="B25" s="3" t="s">
        <v>27</v>
      </c>
      <c r="C25" s="4">
        <v>261</v>
      </c>
      <c r="D25" s="4">
        <v>0</v>
      </c>
      <c r="E25" s="4">
        <v>2347</v>
      </c>
      <c r="F25" s="9">
        <v>0</v>
      </c>
      <c r="G25" s="9"/>
      <c r="H25" s="9">
        <v>0</v>
      </c>
      <c r="I25" s="19">
        <v>0</v>
      </c>
      <c r="J25" s="19">
        <v>0</v>
      </c>
      <c r="K25" s="19">
        <v>0</v>
      </c>
      <c r="L25" s="19">
        <v>0</v>
      </c>
    </row>
    <row r="26" spans="2:12" x14ac:dyDescent="0.35">
      <c r="B26" s="3" t="s">
        <v>28</v>
      </c>
      <c r="C26" s="4">
        <f>+C17</f>
        <v>243344</v>
      </c>
      <c r="D26" s="4">
        <v>0</v>
      </c>
      <c r="E26" s="4">
        <f>+E17</f>
        <v>141679</v>
      </c>
      <c r="F26" s="9">
        <v>142000</v>
      </c>
      <c r="G26" s="9">
        <v>8000</v>
      </c>
      <c r="H26" s="9">
        <f>+F26+G26</f>
        <v>150000</v>
      </c>
      <c r="I26" s="19">
        <v>150000</v>
      </c>
      <c r="J26" s="19">
        <v>150000</v>
      </c>
      <c r="K26" s="19">
        <v>150000</v>
      </c>
      <c r="L26" s="19">
        <v>150000</v>
      </c>
    </row>
    <row r="27" spans="2:12" x14ac:dyDescent="0.35">
      <c r="B27" s="2" t="s">
        <v>54</v>
      </c>
      <c r="C27" s="5">
        <f>+C21+C24-C25+C26</f>
        <v>991685</v>
      </c>
      <c r="D27" s="5">
        <f>+D21+D24-D25+D26</f>
        <v>-861000</v>
      </c>
      <c r="E27" s="5">
        <f>+E21+E24-E25+E26</f>
        <v>420224</v>
      </c>
      <c r="F27" s="10">
        <f>+F21+F24-F25+F26</f>
        <v>0</v>
      </c>
      <c r="G27" s="10">
        <f t="shared" ref="G27:K27" si="9">+G21+G24-G25+G26</f>
        <v>0</v>
      </c>
      <c r="H27" s="10">
        <f>+H21+H24-H25+H26</f>
        <v>0</v>
      </c>
      <c r="I27" s="22">
        <f t="shared" si="9"/>
        <v>-513000</v>
      </c>
      <c r="J27" s="22">
        <f t="shared" si="9"/>
        <v>-513000</v>
      </c>
      <c r="K27" s="22">
        <f t="shared" si="9"/>
        <v>-513000</v>
      </c>
      <c r="L27" s="22">
        <f t="shared" ref="L27" si="10">+L21+L24-L25+L26</f>
        <v>-513000</v>
      </c>
    </row>
    <row r="28" spans="2:12" x14ac:dyDescent="0.35">
      <c r="B28" s="3"/>
      <c r="C28" s="4"/>
      <c r="D28" s="4"/>
      <c r="E28" s="4"/>
      <c r="F28" s="9"/>
      <c r="G28" s="9"/>
      <c r="H28" s="9"/>
      <c r="I28" s="19"/>
      <c r="J28" s="19"/>
      <c r="K28" s="19"/>
      <c r="L28" s="19"/>
    </row>
    <row r="29" spans="2:12" x14ac:dyDescent="0.35">
      <c r="B29" s="2" t="s">
        <v>29</v>
      </c>
      <c r="C29" s="4"/>
      <c r="D29" s="4"/>
      <c r="E29" s="4"/>
      <c r="F29" s="9"/>
      <c r="G29" s="9"/>
      <c r="H29" s="9"/>
      <c r="I29" s="19"/>
      <c r="J29" s="19"/>
      <c r="K29" s="19"/>
      <c r="L29" s="19"/>
    </row>
    <row r="30" spans="2:12" x14ac:dyDescent="0.35">
      <c r="B30" s="3" t="s">
        <v>30</v>
      </c>
      <c r="C30" s="4">
        <v>1111092</v>
      </c>
      <c r="D30" s="4"/>
      <c r="E30" s="4">
        <v>761300</v>
      </c>
      <c r="F30" s="9">
        <v>1514000</v>
      </c>
      <c r="G30" s="9">
        <v>-1514000</v>
      </c>
      <c r="H30" s="9">
        <f t="shared" ref="H30:H33" si="11">+F30+G30</f>
        <v>0</v>
      </c>
      <c r="I30" s="19"/>
      <c r="J30" s="19"/>
      <c r="K30" s="19"/>
      <c r="L30" s="19"/>
    </row>
    <row r="31" spans="2:12" x14ac:dyDescent="0.35">
      <c r="B31" s="3" t="s">
        <v>31</v>
      </c>
      <c r="C31" s="4">
        <v>215526</v>
      </c>
      <c r="D31" s="4">
        <v>861000</v>
      </c>
      <c r="E31" s="4">
        <v>1870001</v>
      </c>
      <c r="F31" s="9">
        <v>1514000</v>
      </c>
      <c r="G31" s="9">
        <f>665000+500000</f>
        <v>1165000</v>
      </c>
      <c r="H31" s="9">
        <f>+F31+G31</f>
        <v>2679000</v>
      </c>
      <c r="I31" s="19">
        <f>513000+400000+14000</f>
        <v>927000</v>
      </c>
      <c r="J31" s="19">
        <f>513000+14000</f>
        <v>527000</v>
      </c>
      <c r="K31" s="19">
        <f t="shared" ref="K31:L31" si="12">513000+14000</f>
        <v>527000</v>
      </c>
      <c r="L31" s="19">
        <f t="shared" si="12"/>
        <v>527000</v>
      </c>
    </row>
    <row r="32" spans="2:12" x14ac:dyDescent="0.35">
      <c r="B32" s="3" t="s">
        <v>32</v>
      </c>
      <c r="C32" s="4">
        <v>215526</v>
      </c>
      <c r="D32" s="4"/>
      <c r="E32" s="4">
        <v>1528925</v>
      </c>
      <c r="F32" s="9">
        <v>0</v>
      </c>
      <c r="G32" s="9">
        <f>2014000+665000</f>
        <v>2679000</v>
      </c>
      <c r="H32" s="9">
        <f>+F32+G32</f>
        <v>2679000</v>
      </c>
      <c r="I32" s="19">
        <v>414000</v>
      </c>
      <c r="J32" s="19">
        <v>14000</v>
      </c>
      <c r="K32" s="19">
        <v>14000</v>
      </c>
      <c r="L32" s="19">
        <v>14000</v>
      </c>
    </row>
    <row r="33" spans="2:12" x14ac:dyDescent="0.35">
      <c r="B33" s="3"/>
      <c r="C33" s="4"/>
      <c r="D33" s="4"/>
      <c r="E33" s="4"/>
      <c r="F33" s="9"/>
      <c r="G33" s="9"/>
      <c r="H33" s="9">
        <f t="shared" si="11"/>
        <v>0</v>
      </c>
      <c r="I33" s="19">
        <v>0</v>
      </c>
      <c r="J33" s="19">
        <v>0</v>
      </c>
      <c r="K33" s="19">
        <v>0</v>
      </c>
      <c r="L33" s="19">
        <v>0</v>
      </c>
    </row>
    <row r="34" spans="2:12" x14ac:dyDescent="0.35">
      <c r="B34" s="2" t="s">
        <v>55</v>
      </c>
      <c r="C34" s="11">
        <f t="shared" ref="C34:K34" si="13">+C27-C30+C31-C32</f>
        <v>-119407</v>
      </c>
      <c r="D34" s="11">
        <f t="shared" si="13"/>
        <v>0</v>
      </c>
      <c r="E34" s="21">
        <f>+E27-E30+E31-E32</f>
        <v>0</v>
      </c>
      <c r="F34" s="11">
        <f>+F31-F30-F32</f>
        <v>0</v>
      </c>
      <c r="G34" s="11">
        <f t="shared" ref="G34:H34" si="14">+G31-G30-G32</f>
        <v>0</v>
      </c>
      <c r="H34" s="11">
        <f t="shared" si="14"/>
        <v>0</v>
      </c>
      <c r="I34" s="23">
        <f t="shared" si="13"/>
        <v>0</v>
      </c>
      <c r="J34" s="23">
        <f t="shared" si="13"/>
        <v>0</v>
      </c>
      <c r="K34" s="23">
        <f t="shared" si="13"/>
        <v>0</v>
      </c>
      <c r="L34" s="23">
        <f t="shared" ref="L34" si="15">+L27-L30+L31-L32</f>
        <v>0</v>
      </c>
    </row>
  </sheetData>
  <phoneticPr fontId="7" type="noConversion"/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EF982-D21F-4A30-8E53-A3E410F9549B}">
  <dimension ref="A2:J31"/>
  <sheetViews>
    <sheetView tabSelected="1" zoomScaleNormal="100" workbookViewId="0">
      <selection activeCell="B34" sqref="B34"/>
    </sheetView>
  </sheetViews>
  <sheetFormatPr baseColWidth="10" defaultColWidth="11.453125" defaultRowHeight="14.5" x14ac:dyDescent="0.35"/>
  <cols>
    <col min="1" max="1" width="5.7265625" customWidth="1"/>
    <col min="2" max="2" width="38.453125" customWidth="1"/>
    <col min="3" max="10" width="11.54296875" customWidth="1"/>
  </cols>
  <sheetData>
    <row r="2" spans="1:10" ht="18.5" x14ac:dyDescent="0.45">
      <c r="B2" s="7" t="s">
        <v>0</v>
      </c>
    </row>
    <row r="3" spans="1:10" ht="6.65" customHeight="1" x14ac:dyDescent="0.35">
      <c r="B3" s="1"/>
    </row>
    <row r="4" spans="1:10" x14ac:dyDescent="0.35">
      <c r="B4" s="2" t="s">
        <v>33</v>
      </c>
      <c r="C4" s="3"/>
      <c r="D4" s="3"/>
      <c r="E4" s="3"/>
      <c r="F4" s="3"/>
      <c r="G4" s="3"/>
      <c r="H4" s="3"/>
      <c r="I4" s="3"/>
      <c r="J4" s="3"/>
    </row>
    <row r="5" spans="1:10" ht="28.5" customHeight="1" x14ac:dyDescent="0.35">
      <c r="B5" s="3"/>
      <c r="C5" s="12" t="s">
        <v>4</v>
      </c>
      <c r="D5" s="13" t="s">
        <v>5</v>
      </c>
      <c r="E5" s="13" t="s">
        <v>6</v>
      </c>
      <c r="F5" s="13" t="s">
        <v>34</v>
      </c>
      <c r="G5" s="12" t="s">
        <v>8</v>
      </c>
      <c r="H5" s="12" t="s">
        <v>9</v>
      </c>
      <c r="I5" s="12" t="s">
        <v>10</v>
      </c>
      <c r="J5" s="12" t="s">
        <v>11</v>
      </c>
    </row>
    <row r="6" spans="1:10" x14ac:dyDescent="0.35">
      <c r="A6" s="6"/>
      <c r="B6" s="2" t="s">
        <v>35</v>
      </c>
      <c r="C6" s="3"/>
      <c r="D6" s="8"/>
      <c r="E6" s="8"/>
      <c r="F6" s="8"/>
      <c r="G6" s="3"/>
      <c r="H6" s="3"/>
      <c r="I6" s="3"/>
      <c r="J6" s="3"/>
    </row>
    <row r="7" spans="1:10" x14ac:dyDescent="0.35">
      <c r="A7" s="3"/>
      <c r="B7" s="3" t="s">
        <v>36</v>
      </c>
      <c r="C7" s="4">
        <f>1757802-340538</f>
        <v>1417264</v>
      </c>
      <c r="D7" s="9">
        <v>1500000</v>
      </c>
      <c r="E7" s="9">
        <f>665000+500000</f>
        <v>1165000</v>
      </c>
      <c r="F7" s="9">
        <f>+D7+E7</f>
        <v>2665000</v>
      </c>
      <c r="G7" s="19">
        <v>400000</v>
      </c>
      <c r="H7" s="19">
        <v>0</v>
      </c>
      <c r="I7" s="19"/>
      <c r="J7" s="19">
        <v>0</v>
      </c>
    </row>
    <row r="8" spans="1:10" x14ac:dyDescent="0.35">
      <c r="A8" s="3"/>
      <c r="B8" s="3" t="s">
        <v>37</v>
      </c>
      <c r="C8" s="4">
        <v>15660</v>
      </c>
      <c r="D8" s="9">
        <v>14000</v>
      </c>
      <c r="E8" s="9"/>
      <c r="F8" s="9">
        <f t="shared" ref="F8:F9" si="0">+D8+E8</f>
        <v>14000</v>
      </c>
      <c r="G8" s="19">
        <v>14000</v>
      </c>
      <c r="H8" s="19">
        <v>14000</v>
      </c>
      <c r="I8" s="19">
        <v>14000</v>
      </c>
      <c r="J8" s="19">
        <v>14000</v>
      </c>
    </row>
    <row r="9" spans="1:10" x14ac:dyDescent="0.35">
      <c r="A9" s="3"/>
      <c r="B9" s="3" t="s">
        <v>38</v>
      </c>
      <c r="C9" s="4">
        <v>340538</v>
      </c>
      <c r="D9" s="9">
        <v>375000</v>
      </c>
      <c r="E9" s="9">
        <f>+E7*0.25</f>
        <v>291250</v>
      </c>
      <c r="F9" s="9">
        <f t="shared" si="0"/>
        <v>666250</v>
      </c>
      <c r="G9" s="19">
        <f>+G7*0.25</f>
        <v>100000</v>
      </c>
      <c r="H9" s="19"/>
      <c r="I9" s="19"/>
      <c r="J9" s="19"/>
    </row>
    <row r="10" spans="1:10" x14ac:dyDescent="0.35">
      <c r="A10" s="3"/>
      <c r="B10" s="2" t="s">
        <v>39</v>
      </c>
      <c r="C10" s="5">
        <f t="shared" ref="C10:J10" si="1">SUM(C7:C9)</f>
        <v>1773462</v>
      </c>
      <c r="D10" s="10">
        <f t="shared" si="1"/>
        <v>1889000</v>
      </c>
      <c r="E10" s="10">
        <f t="shared" si="1"/>
        <v>1456250</v>
      </c>
      <c r="F10" s="10">
        <f t="shared" si="1"/>
        <v>3345250</v>
      </c>
      <c r="G10" s="22">
        <f t="shared" si="1"/>
        <v>514000</v>
      </c>
      <c r="H10" s="22">
        <f t="shared" si="1"/>
        <v>14000</v>
      </c>
      <c r="I10" s="22">
        <f t="shared" si="1"/>
        <v>14000</v>
      </c>
      <c r="J10" s="22">
        <f t="shared" si="1"/>
        <v>14000</v>
      </c>
    </row>
    <row r="11" spans="1:10" x14ac:dyDescent="0.35">
      <c r="A11" s="3"/>
      <c r="B11" s="3"/>
      <c r="C11" s="4"/>
      <c r="D11" s="9"/>
      <c r="E11" s="9"/>
      <c r="F11" s="9"/>
      <c r="G11" s="19"/>
      <c r="H11" s="19"/>
      <c r="I11" s="19"/>
      <c r="J11" s="19"/>
    </row>
    <row r="12" spans="1:10" x14ac:dyDescent="0.35">
      <c r="A12" s="3"/>
      <c r="B12" s="2" t="s">
        <v>40</v>
      </c>
      <c r="C12" s="3"/>
      <c r="D12" s="9"/>
      <c r="E12" s="9"/>
      <c r="F12" s="9"/>
      <c r="G12" s="19"/>
      <c r="H12" s="19"/>
      <c r="I12" s="19"/>
      <c r="J12" s="19"/>
    </row>
    <row r="13" spans="1:10" x14ac:dyDescent="0.35">
      <c r="A13" s="3"/>
      <c r="B13" s="3" t="s">
        <v>41</v>
      </c>
      <c r="C13" s="4">
        <v>340538</v>
      </c>
      <c r="D13" s="9">
        <v>375000</v>
      </c>
      <c r="E13" s="9">
        <f>+E9</f>
        <v>291250</v>
      </c>
      <c r="F13" s="9">
        <f t="shared" ref="F13:F14" si="2">+D13+E13</f>
        <v>666250</v>
      </c>
      <c r="G13" s="19">
        <v>100000</v>
      </c>
      <c r="H13" s="19"/>
      <c r="I13" s="19"/>
      <c r="J13" s="19"/>
    </row>
    <row r="14" spans="1:10" x14ac:dyDescent="0.35">
      <c r="A14" s="3"/>
      <c r="B14" s="3" t="s">
        <v>42</v>
      </c>
      <c r="C14" s="4">
        <v>1528925</v>
      </c>
      <c r="D14" s="9">
        <v>1514000</v>
      </c>
      <c r="E14" s="9">
        <f>665000+500000</f>
        <v>1165000</v>
      </c>
      <c r="F14" s="9">
        <f t="shared" si="2"/>
        <v>2679000</v>
      </c>
      <c r="G14" s="19">
        <v>414000</v>
      </c>
      <c r="H14" s="19">
        <v>14000</v>
      </c>
      <c r="I14" s="19">
        <v>14000</v>
      </c>
      <c r="J14" s="19">
        <v>14000</v>
      </c>
    </row>
    <row r="15" spans="1:10" x14ac:dyDescent="0.35">
      <c r="A15" s="3"/>
      <c r="B15" s="3" t="s">
        <v>43</v>
      </c>
      <c r="C15" s="4">
        <v>-96001</v>
      </c>
      <c r="D15" s="9"/>
      <c r="E15" s="9"/>
      <c r="F15" s="9"/>
      <c r="G15" s="19"/>
      <c r="H15" s="19"/>
      <c r="I15" s="19"/>
      <c r="J15" s="19"/>
    </row>
    <row r="16" spans="1:10" x14ac:dyDescent="0.35">
      <c r="A16" s="3"/>
      <c r="B16" s="2" t="s">
        <v>44</v>
      </c>
      <c r="C16" s="5">
        <f>SUM(C13:C15)</f>
        <v>1773462</v>
      </c>
      <c r="D16" s="10">
        <f t="shared" ref="D16:J16" si="3">SUM(D13:D15)</f>
        <v>1889000</v>
      </c>
      <c r="E16" s="10">
        <f t="shared" si="3"/>
        <v>1456250</v>
      </c>
      <c r="F16" s="10">
        <f t="shared" si="3"/>
        <v>3345250</v>
      </c>
      <c r="G16" s="22">
        <f t="shared" si="3"/>
        <v>514000</v>
      </c>
      <c r="H16" s="22">
        <f t="shared" si="3"/>
        <v>14000</v>
      </c>
      <c r="I16" s="22">
        <f t="shared" si="3"/>
        <v>14000</v>
      </c>
      <c r="J16" s="22">
        <f t="shared" si="3"/>
        <v>14000</v>
      </c>
    </row>
    <row r="17" spans="2:10" x14ac:dyDescent="0.35">
      <c r="B17" s="3"/>
      <c r="C17" s="4"/>
      <c r="D17" s="9"/>
      <c r="E17" s="9"/>
      <c r="F17" s="9"/>
      <c r="G17" s="19"/>
      <c r="H17" s="19"/>
      <c r="I17" s="19"/>
      <c r="J17" s="19"/>
    </row>
    <row r="18" spans="2:10" x14ac:dyDescent="0.35">
      <c r="B18" s="2" t="s">
        <v>55</v>
      </c>
      <c r="C18" s="5">
        <f>+C10-C16</f>
        <v>0</v>
      </c>
      <c r="D18" s="10">
        <f t="shared" ref="D18:J18" si="4">+D10-D16</f>
        <v>0</v>
      </c>
      <c r="E18" s="10">
        <f t="shared" si="4"/>
        <v>0</v>
      </c>
      <c r="F18" s="10">
        <f t="shared" si="4"/>
        <v>0</v>
      </c>
      <c r="G18" s="22">
        <f t="shared" si="4"/>
        <v>0</v>
      </c>
      <c r="H18" s="22">
        <f t="shared" si="4"/>
        <v>0</v>
      </c>
      <c r="I18" s="22">
        <f t="shared" si="4"/>
        <v>0</v>
      </c>
      <c r="J18" s="22">
        <f t="shared" si="4"/>
        <v>0</v>
      </c>
    </row>
    <row r="19" spans="2:10" x14ac:dyDescent="0.35">
      <c r="B19" s="3"/>
      <c r="C19" s="4"/>
      <c r="D19" s="9"/>
      <c r="E19" s="9"/>
      <c r="F19" s="9"/>
      <c r="G19" s="19"/>
      <c r="H19" s="19"/>
      <c r="I19" s="19"/>
      <c r="J19" s="19"/>
    </row>
    <row r="20" spans="2:10" x14ac:dyDescent="0.35">
      <c r="B20" s="3"/>
      <c r="C20" s="4"/>
      <c r="D20" s="9"/>
      <c r="E20" s="9"/>
      <c r="F20" s="9"/>
      <c r="G20" s="19"/>
      <c r="H20" s="19"/>
      <c r="I20" s="19"/>
      <c r="J20" s="19"/>
    </row>
    <row r="21" spans="2:10" x14ac:dyDescent="0.35">
      <c r="B21" s="2" t="s">
        <v>45</v>
      </c>
      <c r="C21" s="4"/>
      <c r="D21" s="9"/>
      <c r="E21" s="9"/>
      <c r="F21" s="9"/>
      <c r="G21" s="19"/>
      <c r="H21" s="19"/>
      <c r="I21" s="19"/>
      <c r="J21" s="19"/>
    </row>
    <row r="22" spans="2:10" s="17" customFormat="1" x14ac:dyDescent="0.35">
      <c r="B22" s="14" t="s">
        <v>37</v>
      </c>
      <c r="C22" s="15"/>
      <c r="D22" s="16">
        <v>14000</v>
      </c>
      <c r="E22" s="16"/>
      <c r="F22" s="16">
        <f>+D22+E22</f>
        <v>14000</v>
      </c>
      <c r="G22" s="24">
        <v>14000</v>
      </c>
      <c r="H22" s="24">
        <v>14000</v>
      </c>
      <c r="I22" s="24">
        <v>14000</v>
      </c>
      <c r="J22" s="24">
        <v>14000</v>
      </c>
    </row>
    <row r="23" spans="2:10" x14ac:dyDescent="0.35">
      <c r="B23" s="3" t="s">
        <v>46</v>
      </c>
      <c r="D23" s="9"/>
      <c r="E23" s="9"/>
      <c r="F23" s="9"/>
      <c r="G23" s="19"/>
      <c r="H23" s="19"/>
      <c r="I23" s="19"/>
      <c r="J23" s="19"/>
    </row>
    <row r="24" spans="2:10" x14ac:dyDescent="0.35">
      <c r="B24" s="3" t="s">
        <v>47</v>
      </c>
      <c r="C24" s="4"/>
      <c r="D24" s="9"/>
      <c r="E24" s="9"/>
      <c r="F24" s="9"/>
      <c r="G24" s="19"/>
      <c r="H24" s="19"/>
      <c r="I24" s="19"/>
      <c r="J24" s="19"/>
    </row>
    <row r="25" spans="2:10" x14ac:dyDescent="0.35">
      <c r="B25" s="3" t="s">
        <v>48</v>
      </c>
      <c r="C25" s="4"/>
      <c r="D25" s="9"/>
      <c r="E25" s="9"/>
      <c r="F25" s="9"/>
      <c r="G25" s="19"/>
      <c r="H25" s="19"/>
      <c r="I25" s="19"/>
      <c r="J25" s="19"/>
    </row>
    <row r="26" spans="2:10" x14ac:dyDescent="0.35">
      <c r="B26" s="3" t="s">
        <v>49</v>
      </c>
      <c r="C26" s="4"/>
      <c r="D26" s="9"/>
      <c r="E26" s="9"/>
      <c r="F26" s="9"/>
      <c r="G26" s="19"/>
      <c r="H26" s="19"/>
      <c r="I26" s="19"/>
      <c r="J26" s="19"/>
    </row>
    <row r="27" spans="2:10" x14ac:dyDescent="0.35">
      <c r="B27" s="3" t="s">
        <v>47</v>
      </c>
      <c r="C27" s="4"/>
      <c r="D27" s="9">
        <v>1200000</v>
      </c>
      <c r="E27" s="9">
        <v>665000</v>
      </c>
      <c r="F27" s="9">
        <f>+D27+E27</f>
        <v>1865000</v>
      </c>
      <c r="G27" s="19"/>
      <c r="H27" s="19"/>
      <c r="I27" s="19"/>
      <c r="J27" s="19"/>
    </row>
    <row r="28" spans="2:10" x14ac:dyDescent="0.35">
      <c r="B28" s="3" t="s">
        <v>50</v>
      </c>
      <c r="C28" s="4"/>
      <c r="D28" s="9"/>
      <c r="E28" s="9"/>
      <c r="F28" s="9"/>
      <c r="G28" s="19">
        <v>400000</v>
      </c>
      <c r="H28" s="19"/>
      <c r="I28" s="19"/>
      <c r="J28" s="19"/>
    </row>
    <row r="29" spans="2:10" x14ac:dyDescent="0.35">
      <c r="B29" s="3" t="s">
        <v>51</v>
      </c>
      <c r="C29" s="4"/>
      <c r="D29" s="9">
        <v>300000</v>
      </c>
      <c r="E29" s="9">
        <v>500000</v>
      </c>
      <c r="F29" s="9">
        <f>+D29+E29</f>
        <v>800000</v>
      </c>
      <c r="G29" s="19"/>
      <c r="H29" s="19"/>
      <c r="I29" s="19"/>
      <c r="J29" s="19"/>
    </row>
    <row r="30" spans="2:10" x14ac:dyDescent="0.35">
      <c r="B30" s="2" t="s">
        <v>52</v>
      </c>
      <c r="C30" s="5">
        <f>SUM(C23:C29)</f>
        <v>0</v>
      </c>
      <c r="D30" s="10">
        <f>SUM(D22:D29)</f>
        <v>1514000</v>
      </c>
      <c r="E30" s="10">
        <f>SUM(E22:E29)</f>
        <v>1165000</v>
      </c>
      <c r="F30" s="10">
        <f>SUM(F22:F29)</f>
        <v>2679000</v>
      </c>
      <c r="G30" s="22">
        <f>SUM(G22:G29)</f>
        <v>414000</v>
      </c>
      <c r="H30" s="22">
        <f t="shared" ref="H30:J30" si="5">SUM(H22:H29)</f>
        <v>14000</v>
      </c>
      <c r="I30" s="22">
        <f t="shared" si="5"/>
        <v>14000</v>
      </c>
      <c r="J30" s="22">
        <f t="shared" si="5"/>
        <v>14000</v>
      </c>
    </row>
    <row r="31" spans="2:10" x14ac:dyDescent="0.35">
      <c r="B31" s="3"/>
      <c r="C31" s="4"/>
      <c r="D31" s="4"/>
      <c r="E31" s="4"/>
      <c r="F31" s="4"/>
      <c r="G31" s="4"/>
      <c r="H31" s="4"/>
      <c r="I31" s="4"/>
      <c r="J31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Driftsbudsjett</vt:lpstr>
      <vt:lpstr>Investeringsbudsjett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Ståle Ruud</dc:creator>
  <cp:keywords/>
  <dc:description/>
  <cp:lastModifiedBy>Elisabeth Hansen</cp:lastModifiedBy>
  <cp:revision/>
  <dcterms:created xsi:type="dcterms:W3CDTF">2025-03-05T16:53:01Z</dcterms:created>
  <dcterms:modified xsi:type="dcterms:W3CDTF">2026-04-14T06:19:59Z</dcterms:modified>
  <cp:category/>
  <cp:contentStatus/>
</cp:coreProperties>
</file>